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<sst xmlns="http://schemas.openxmlformats.org/spreadsheetml/2006/main" count="1600" uniqueCount="315">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</sst>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314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542586.23</v>
      </c>
      <c r="G8" s="18">
        <f aca="true" t="shared" si="0" ref="G8:G54">F8-E8</f>
        <v>39060.75999999995</v>
      </c>
      <c r="H8" s="45">
        <f>F8/E8*100</f>
        <v>107.75745465269115</v>
      </c>
      <c r="I8" s="31">
        <f aca="true" t="shared" si="1" ref="I8:I54">F8-D8</f>
        <v>-29702.77000000002</v>
      </c>
      <c r="J8" s="31">
        <f aca="true" t="shared" si="2" ref="J8:J14">F8/D8*100</f>
        <v>94.80983034795356</v>
      </c>
      <c r="K8" s="18">
        <f>K9+K15+K18+K19+K20+K32</f>
        <v>141361.388</v>
      </c>
      <c r="L8" s="18"/>
      <c r="M8" s="18">
        <f>M9+M15+M18+M19+M20+M32+M17</f>
        <v>44772.97000000001</v>
      </c>
      <c r="N8" s="18">
        <f>N9+N15+N18+N19+N20+N32+N17</f>
        <v>61706.98000000002</v>
      </c>
      <c r="O8" s="31">
        <f aca="true" t="shared" si="3" ref="O8:O54">N8-M8</f>
        <v>16934.01000000001</v>
      </c>
      <c r="P8" s="31">
        <f>F8/M8*100</f>
        <v>1211.8611519405567</v>
      </c>
      <c r="Q8" s="31">
        <f>N8-33748.16</f>
        <v>27958.820000000014</v>
      </c>
      <c r="R8" s="125">
        <f>N8/33748.16</f>
        <v>1.8284546476015289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296275.33</v>
      </c>
      <c r="G9" s="43">
        <f t="shared" si="0"/>
        <v>26410.21000000002</v>
      </c>
      <c r="H9" s="35">
        <f aca="true" t="shared" si="4" ref="H9:H32">F9/E9*100</f>
        <v>109.78644813379366</v>
      </c>
      <c r="I9" s="50">
        <f t="shared" si="1"/>
        <v>-16414.669999999984</v>
      </c>
      <c r="J9" s="50">
        <f t="shared" si="2"/>
        <v>94.75049729764305</v>
      </c>
      <c r="K9" s="132">
        <f>F9-316022.19/75*60</f>
        <v>43457.57800000001</v>
      </c>
      <c r="L9" s="132">
        <f>F9/(316022.19/75*60)*100</f>
        <v>117.18929056848826</v>
      </c>
      <c r="M9" s="35">
        <f>E9-вересень!E9</f>
        <v>21250.570000000007</v>
      </c>
      <c r="N9" s="35">
        <f>F9-вересень!F9</f>
        <v>31899.920000000042</v>
      </c>
      <c r="O9" s="47">
        <f t="shared" si="3"/>
        <v>10649.350000000035</v>
      </c>
      <c r="P9" s="50">
        <f aca="true" t="shared" si="5" ref="P9:P32">N9/M9*100</f>
        <v>150.11324402121934</v>
      </c>
      <c r="Q9" s="132">
        <f>N9-26568.11</f>
        <v>5331.810000000041</v>
      </c>
      <c r="R9" s="133">
        <f>N9/26568.11</f>
        <v>1.200684580122562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262635.28</v>
      </c>
      <c r="G10" s="135">
        <f t="shared" si="0"/>
        <v>26674.46000000002</v>
      </c>
      <c r="H10" s="137">
        <f t="shared" si="4"/>
        <v>111.3046140456708</v>
      </c>
      <c r="I10" s="136">
        <f t="shared" si="1"/>
        <v>22225.280000000028</v>
      </c>
      <c r="J10" s="136">
        <f t="shared" si="2"/>
        <v>109.24474023543115</v>
      </c>
      <c r="K10" s="138">
        <f>F10-281171.58/75*60</f>
        <v>37698.01600000003</v>
      </c>
      <c r="L10" s="138">
        <f>F10/(281171.58/75*60)*100</f>
        <v>116.75934673056219</v>
      </c>
      <c r="M10" s="137">
        <f>E10-вересень!E10</f>
        <v>17470.570000000007</v>
      </c>
      <c r="N10" s="137">
        <f>F10-вересень!F10</f>
        <v>28698.800000000017</v>
      </c>
      <c r="O10" s="138">
        <f t="shared" si="3"/>
        <v>11228.23000000001</v>
      </c>
      <c r="P10" s="136">
        <f t="shared" si="5"/>
        <v>164.26939704886564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15809.05</v>
      </c>
      <c r="G11" s="135">
        <f t="shared" si="0"/>
        <v>-3108.850000000002</v>
      </c>
      <c r="H11" s="137">
        <f t="shared" si="4"/>
        <v>83.5666220880753</v>
      </c>
      <c r="I11" s="136">
        <f t="shared" si="1"/>
        <v>-7890.950000000001</v>
      </c>
      <c r="J11" s="136">
        <f t="shared" si="2"/>
        <v>66.7048523206751</v>
      </c>
      <c r="K11" s="138">
        <f>F11-21169.22/75*60</f>
        <v>-1126.3260000000046</v>
      </c>
      <c r="L11" s="138">
        <f>F11/(21169.22/75*60)*100</f>
        <v>93.349270780879</v>
      </c>
      <c r="M11" s="137">
        <f>E11-вересень!E11</f>
        <v>2130</v>
      </c>
      <c r="N11" s="137">
        <f>F11-вересень!F11</f>
        <v>1806.3599999999988</v>
      </c>
      <c r="O11" s="138">
        <f t="shared" si="3"/>
        <v>-323.64000000000124</v>
      </c>
      <c r="P11" s="136">
        <f t="shared" si="5"/>
        <v>84.80563380281684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4169.14</v>
      </c>
      <c r="G12" s="135">
        <f t="shared" si="0"/>
        <v>-279.8599999999997</v>
      </c>
      <c r="H12" s="137">
        <f t="shared" si="4"/>
        <v>93.70959766239605</v>
      </c>
      <c r="I12" s="136">
        <f t="shared" si="1"/>
        <v>-1630.8599999999997</v>
      </c>
      <c r="J12" s="136">
        <f t="shared" si="2"/>
        <v>71.88172413793103</v>
      </c>
      <c r="K12" s="138">
        <f>F12-5687.46/75*60</f>
        <v>-380.82800000000043</v>
      </c>
      <c r="L12" s="138">
        <f>F12/(5687.46*60)*100</f>
        <v>1.2217345997451705</v>
      </c>
      <c r="M12" s="137">
        <f>E12-вересень!E12</f>
        <v>540</v>
      </c>
      <c r="N12" s="137">
        <f>F12-вересень!F12</f>
        <v>424.50000000000045</v>
      </c>
      <c r="O12" s="138">
        <f t="shared" si="3"/>
        <v>-115.49999999999955</v>
      </c>
      <c r="P12" s="136">
        <f t="shared" si="5"/>
        <v>78.6111111111112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6098.87</v>
      </c>
      <c r="G13" s="135">
        <f t="shared" si="0"/>
        <v>-844.5299999999997</v>
      </c>
      <c r="H13" s="137">
        <f t="shared" si="4"/>
        <v>87.83693867557682</v>
      </c>
      <c r="I13" s="136">
        <f t="shared" si="1"/>
        <v>-2301.13</v>
      </c>
      <c r="J13" s="136">
        <f t="shared" si="2"/>
        <v>72.60559523809523</v>
      </c>
      <c r="K13" s="138">
        <f>F13-7878.81/75*60</f>
        <v>-204.1780000000008</v>
      </c>
      <c r="L13" s="138">
        <f>F13/(7878.81/75*60)*100</f>
        <v>96.76064659510763</v>
      </c>
      <c r="M13" s="137">
        <f>E13-вересень!E13</f>
        <v>720</v>
      </c>
      <c r="N13" s="137">
        <f>F13-вересень!F13</f>
        <v>368.6300000000001</v>
      </c>
      <c r="O13" s="138">
        <f t="shared" si="3"/>
        <v>-351.3699999999999</v>
      </c>
      <c r="P13" s="136">
        <f t="shared" si="5"/>
        <v>51.19861111111113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-590.87</v>
      </c>
      <c r="G15" s="43">
        <f t="shared" si="0"/>
        <v>-762.27</v>
      </c>
      <c r="H15" s="35"/>
      <c r="I15" s="50">
        <f t="shared" si="1"/>
        <v>-590.87</v>
      </c>
      <c r="J15" s="50" t="e">
        <f>F15/D15*100</f>
        <v>#DIV/0!</v>
      </c>
      <c r="K15" s="53">
        <f>F15-(-880.89)</f>
        <v>290.02</v>
      </c>
      <c r="L15" s="53">
        <f>F15/(-880.89)*100</f>
        <v>67.07647946962732</v>
      </c>
      <c r="M15" s="35">
        <f>E15-вересень!E15</f>
        <v>0</v>
      </c>
      <c r="N15" s="35">
        <f>F15-вересень!F15</f>
        <v>75.82000000000005</v>
      </c>
      <c r="O15" s="47">
        <f t="shared" si="3"/>
        <v>75.82000000000005</v>
      </c>
      <c r="P15" s="50"/>
      <c r="Q15" s="50">
        <f>N15-358.81</f>
        <v>-282.98999999999995</v>
      </c>
      <c r="R15" s="126">
        <f>N15/358.81</f>
        <v>0.2113096067556647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58485.05</v>
      </c>
      <c r="G19" s="43">
        <f t="shared" si="0"/>
        <v>962.3000000000029</v>
      </c>
      <c r="H19" s="35">
        <f t="shared" si="4"/>
        <v>101.67290332955223</v>
      </c>
      <c r="I19" s="50">
        <f t="shared" si="1"/>
        <v>-3724.949999999997</v>
      </c>
      <c r="J19" s="178">
        <f>F19/D19*100</f>
        <v>94.01229705835075</v>
      </c>
      <c r="K19" s="179">
        <f>F19-0</f>
        <v>58485.05</v>
      </c>
      <c r="L19" s="180"/>
      <c r="M19" s="35">
        <f>E19-вересень!E19</f>
        <v>6800</v>
      </c>
      <c r="N19" s="35">
        <f>F19-вересень!F19</f>
        <v>7016.18</v>
      </c>
      <c r="O19" s="47">
        <f t="shared" si="3"/>
        <v>216.1800000000003</v>
      </c>
      <c r="P19" s="50">
        <f t="shared" si="5"/>
        <v>103.17911764705883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182815.02999999997</v>
      </c>
      <c r="G20" s="43">
        <f t="shared" si="0"/>
        <v>12621.129999999976</v>
      </c>
      <c r="H20" s="35">
        <f t="shared" si="4"/>
        <v>107.41573581661856</v>
      </c>
      <c r="I20" s="50">
        <f t="shared" si="1"/>
        <v>-7054.97000000003</v>
      </c>
      <c r="J20" s="178">
        <f aca="true" t="shared" si="6" ref="J20:J46">F20/D20*100</f>
        <v>96.28431558434717</v>
      </c>
      <c r="K20" s="178">
        <f>K21+K25+K26+K27</f>
        <v>40909.45999999999</v>
      </c>
      <c r="L20" s="136"/>
      <c r="M20" s="35">
        <f>E20-вересень!E20</f>
        <v>16715.5</v>
      </c>
      <c r="N20" s="35">
        <f>F20-вересень!F20</f>
        <v>22708.439999999973</v>
      </c>
      <c r="O20" s="47">
        <f t="shared" si="3"/>
        <v>5992.939999999973</v>
      </c>
      <c r="P20" s="50">
        <f t="shared" si="5"/>
        <v>135.85259190571608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100774.79</v>
      </c>
      <c r="G21" s="43">
        <f t="shared" si="0"/>
        <v>4492.389999999999</v>
      </c>
      <c r="H21" s="35">
        <f t="shared" si="4"/>
        <v>104.6658475484616</v>
      </c>
      <c r="I21" s="50">
        <f t="shared" si="1"/>
        <v>-9525.210000000006</v>
      </c>
      <c r="J21" s="178">
        <f t="shared" si="6"/>
        <v>91.36427017225748</v>
      </c>
      <c r="K21" s="178">
        <f>K22+K23+K24</f>
        <v>32070.95</v>
      </c>
      <c r="L21" s="136"/>
      <c r="M21" s="35">
        <f>E21-вересень!E21</f>
        <v>10382</v>
      </c>
      <c r="N21" s="35">
        <f>F21-вересень!F21</f>
        <v>11795.470000000001</v>
      </c>
      <c r="O21" s="47">
        <f t="shared" si="3"/>
        <v>1413.4700000000012</v>
      </c>
      <c r="P21" s="50">
        <f t="shared" si="5"/>
        <v>113.61462146021961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12486.13</v>
      </c>
      <c r="G22" s="135">
        <f t="shared" si="0"/>
        <v>1840.7299999999996</v>
      </c>
      <c r="H22" s="137">
        <f t="shared" si="4"/>
        <v>117.2913183158923</v>
      </c>
      <c r="I22" s="136">
        <f t="shared" si="1"/>
        <v>1786.1299999999992</v>
      </c>
      <c r="J22" s="136">
        <f t="shared" si="6"/>
        <v>116.69280373831774</v>
      </c>
      <c r="K22" s="136">
        <f>F22-437</f>
        <v>12049.13</v>
      </c>
      <c r="L22" s="136">
        <f>F22/437*100</f>
        <v>2857.2379862700227</v>
      </c>
      <c r="M22" s="137">
        <f>E22-вересень!E22</f>
        <v>1851</v>
      </c>
      <c r="N22" s="137">
        <f>F22-вересень!F22</f>
        <v>3354.449999999999</v>
      </c>
      <c r="O22" s="138">
        <f t="shared" si="3"/>
        <v>1503.449999999999</v>
      </c>
      <c r="P22" s="136">
        <f t="shared" si="5"/>
        <v>181.22366288492702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3493.96</v>
      </c>
      <c r="G23" s="135">
        <f t="shared" si="0"/>
        <v>1401.96</v>
      </c>
      <c r="H23" s="137">
        <f t="shared" si="4"/>
        <v>167.0152963671128</v>
      </c>
      <c r="I23" s="136">
        <f t="shared" si="1"/>
        <v>1393.96</v>
      </c>
      <c r="J23" s="136">
        <f t="shared" si="6"/>
        <v>166.37904761904764</v>
      </c>
      <c r="K23" s="136">
        <f>F23-0</f>
        <v>3493.96</v>
      </c>
      <c r="L23" s="136"/>
      <c r="M23" s="137">
        <f>E23-вересень!E23</f>
        <v>305</v>
      </c>
      <c r="N23" s="137">
        <f>F23-вересень!F23</f>
        <v>160.32999999999993</v>
      </c>
      <c r="O23" s="138">
        <f t="shared" si="3"/>
        <v>-144.67000000000007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84794.7</v>
      </c>
      <c r="G24" s="135">
        <f t="shared" si="0"/>
        <v>1249.699999999997</v>
      </c>
      <c r="H24" s="137">
        <f t="shared" si="4"/>
        <v>101.495840564965</v>
      </c>
      <c r="I24" s="136">
        <f t="shared" si="1"/>
        <v>-12705.300000000003</v>
      </c>
      <c r="J24" s="136">
        <f t="shared" si="6"/>
        <v>86.96892307692308</v>
      </c>
      <c r="K24" s="224">
        <f>F24-68266.84</f>
        <v>16527.86</v>
      </c>
      <c r="L24" s="224">
        <f>F24/68266.84*100</f>
        <v>124.2106709494683</v>
      </c>
      <c r="M24" s="137">
        <f>E24-вересень!E24</f>
        <v>8226</v>
      </c>
      <c r="N24" s="137">
        <f>F24-вересень!F24</f>
        <v>8280.690000000002</v>
      </c>
      <c r="O24" s="138">
        <f t="shared" si="3"/>
        <v>54.69000000000233</v>
      </c>
      <c r="P24" s="136">
        <f t="shared" si="5"/>
        <v>100.66484318016049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60.64</v>
      </c>
      <c r="G25" s="43">
        <f t="shared" si="0"/>
        <v>9.14</v>
      </c>
      <c r="H25" s="35">
        <f t="shared" si="4"/>
        <v>117.74757281553399</v>
      </c>
      <c r="I25" s="50">
        <f t="shared" si="1"/>
        <v>-9.36</v>
      </c>
      <c r="J25" s="178">
        <f t="shared" si="6"/>
        <v>86.62857142857143</v>
      </c>
      <c r="K25" s="178">
        <f>F25-48.79</f>
        <v>11.850000000000001</v>
      </c>
      <c r="L25" s="178">
        <f>F25/48.79*100</f>
        <v>124.28776388604223</v>
      </c>
      <c r="M25" s="35">
        <f>E25-вересень!E25</f>
        <v>10</v>
      </c>
      <c r="N25" s="35">
        <f>F25-вересень!F25</f>
        <v>4.789999999999999</v>
      </c>
      <c r="O25" s="47">
        <f t="shared" si="3"/>
        <v>-5.210000000000001</v>
      </c>
      <c r="P25" s="50">
        <f t="shared" si="5"/>
        <v>47.89999999999999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-740.94</v>
      </c>
      <c r="G26" s="43">
        <f t="shared" si="0"/>
        <v>-740.94</v>
      </c>
      <c r="H26" s="35"/>
      <c r="I26" s="50">
        <f t="shared" si="1"/>
        <v>-740.94</v>
      </c>
      <c r="J26" s="136"/>
      <c r="K26" s="178">
        <f>F26-5295.66</f>
        <v>-6036.6</v>
      </c>
      <c r="L26" s="178">
        <f>F26/5295.66*100</f>
        <v>-13.991457155482037</v>
      </c>
      <c r="M26" s="35">
        <f>E26-вересень!E26</f>
        <v>0</v>
      </c>
      <c r="N26" s="35">
        <f>F26-вересень!F26</f>
        <v>-34.960000000000036</v>
      </c>
      <c r="O26" s="47">
        <f t="shared" si="3"/>
        <v>-34.960000000000036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82720.54</v>
      </c>
      <c r="G27" s="43">
        <f t="shared" si="0"/>
        <v>8860.539999999994</v>
      </c>
      <c r="H27" s="35">
        <f t="shared" si="4"/>
        <v>111.99639859193067</v>
      </c>
      <c r="I27" s="50">
        <f t="shared" si="1"/>
        <v>3220.5399999999936</v>
      </c>
      <c r="J27" s="178">
        <f t="shared" si="6"/>
        <v>104.05099371069181</v>
      </c>
      <c r="K27" s="132">
        <f>F27-67857.28</f>
        <v>14863.259999999995</v>
      </c>
      <c r="L27" s="132">
        <f>F27/67857.28*100</f>
        <v>121.90370731040205</v>
      </c>
      <c r="M27" s="35">
        <f>E27-вересень!E27</f>
        <v>6323.5</v>
      </c>
      <c r="N27" s="35">
        <f>F27-вересень!F27</f>
        <v>10943.14</v>
      </c>
      <c r="O27" s="47">
        <f t="shared" si="3"/>
        <v>4619.639999999999</v>
      </c>
      <c r="P27" s="50">
        <f t="shared" si="5"/>
        <v>173.0551118842413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19963.33</v>
      </c>
      <c r="G29" s="135">
        <f t="shared" si="0"/>
        <v>1883.3300000000017</v>
      </c>
      <c r="H29" s="137">
        <f t="shared" si="4"/>
        <v>110.4166482300885</v>
      </c>
      <c r="I29" s="136">
        <f t="shared" si="1"/>
        <v>763.3300000000017</v>
      </c>
      <c r="J29" s="136">
        <f t="shared" si="6"/>
        <v>103.97567708333335</v>
      </c>
      <c r="K29" s="139">
        <f>F29-18415.97</f>
        <v>1547.3600000000006</v>
      </c>
      <c r="L29" s="139">
        <f>F29/18415.97*100</f>
        <v>108.4022725927551</v>
      </c>
      <c r="M29" s="137">
        <f>E29-вересень!E29</f>
        <v>1300</v>
      </c>
      <c r="N29" s="137">
        <f>F29-вересень!F29</f>
        <v>2223.5700000000033</v>
      </c>
      <c r="O29" s="138">
        <f t="shared" si="3"/>
        <v>923.5700000000033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62729.49</v>
      </c>
      <c r="G30" s="135">
        <f t="shared" si="0"/>
        <v>6949.489999999998</v>
      </c>
      <c r="H30" s="137">
        <f t="shared" si="4"/>
        <v>112.45874865543206</v>
      </c>
      <c r="I30" s="136">
        <f t="shared" si="1"/>
        <v>2429.489999999998</v>
      </c>
      <c r="J30" s="136">
        <f t="shared" si="6"/>
        <v>104.02900497512437</v>
      </c>
      <c r="K30" s="139">
        <f>F30-49440.11</f>
        <v>13289.379999999997</v>
      </c>
      <c r="L30" s="139">
        <f>F30/49440.11*100</f>
        <v>126.87975411057944</v>
      </c>
      <c r="M30" s="137">
        <f>E30-вересень!E30</f>
        <v>5023.5</v>
      </c>
      <c r="N30" s="137">
        <f>F30-вересень!F30</f>
        <v>8713.519999999997</v>
      </c>
      <c r="O30" s="138">
        <f t="shared" si="3"/>
        <v>3690.019999999997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28.89</v>
      </c>
      <c r="G31" s="135">
        <f t="shared" si="0"/>
        <v>28.89</v>
      </c>
      <c r="H31" s="137"/>
      <c r="I31" s="136">
        <f t="shared" si="1"/>
        <v>28.89</v>
      </c>
      <c r="J31" s="136"/>
      <c r="K31" s="139">
        <f>F31-0</f>
        <v>28.89</v>
      </c>
      <c r="L31" s="139"/>
      <c r="M31" s="137">
        <f>E31-вересень!E31</f>
        <v>0</v>
      </c>
      <c r="N31" s="137">
        <f>F31-вересень!F31</f>
        <v>6.050000000000001</v>
      </c>
      <c r="O31" s="138">
        <f t="shared" si="3"/>
        <v>6.050000000000001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5585.75</v>
      </c>
      <c r="G32" s="43">
        <f t="shared" si="0"/>
        <v>-173.55000000000018</v>
      </c>
      <c r="H32" s="35">
        <f t="shared" si="4"/>
        <v>96.98661295643566</v>
      </c>
      <c r="I32" s="50">
        <f t="shared" si="1"/>
        <v>-1914.25</v>
      </c>
      <c r="J32" s="178">
        <f t="shared" si="6"/>
        <v>74.47666666666667</v>
      </c>
      <c r="K32" s="178">
        <f>F32-7378.96</f>
        <v>-1793.21</v>
      </c>
      <c r="L32" s="178">
        <f>F32/7378.96*100</f>
        <v>75.6983368930039</v>
      </c>
      <c r="M32" s="35">
        <f>E32-вересень!E32</f>
        <v>6.900000000000546</v>
      </c>
      <c r="N32" s="35">
        <f>F32-вересень!F32</f>
        <v>6.569999999999709</v>
      </c>
      <c r="O32" s="47">
        <f t="shared" si="3"/>
        <v>-0.33000000000083674</v>
      </c>
      <c r="P32" s="50">
        <f t="shared" si="5"/>
        <v>95.21739130433608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35081.67999999999</v>
      </c>
      <c r="G33" s="44">
        <f t="shared" si="0"/>
        <v>2531.4099999999926</v>
      </c>
      <c r="H33" s="45">
        <f aca="true" t="shared" si="7" ref="H33:H38">F33/E33*100</f>
        <v>107.77692473825869</v>
      </c>
      <c r="I33" s="31">
        <f t="shared" si="1"/>
        <v>-557.8900000000067</v>
      </c>
      <c r="J33" s="31">
        <f t="shared" si="6"/>
        <v>98.43463319001883</v>
      </c>
      <c r="K33" s="18">
        <f>K34+K35+K36+K37+K38+K41+K42+K47+K48+K52+K40</f>
        <v>24297.510000000002</v>
      </c>
      <c r="L33" s="18"/>
      <c r="M33" s="18">
        <f>M34+M35+M36+M37+M38+M41+M42+M47+M48+M52+M40+M39</f>
        <v>5900.27</v>
      </c>
      <c r="N33" s="18">
        <f>N34+N35+N36+N37+N38+N41+N42+N47+N48+N52+N40+N39</f>
        <v>6837.05</v>
      </c>
      <c r="O33" s="49">
        <f t="shared" si="3"/>
        <v>936.7799999999997</v>
      </c>
      <c r="P33" s="31">
        <f>N33/M33*100</f>
        <v>115.87690054861896</v>
      </c>
      <c r="Q33" s="31">
        <f>N33-1017.63</f>
        <v>5819.42</v>
      </c>
      <c r="R33" s="127">
        <f>N33/1017.63</f>
        <v>6.718601063254818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-57.79</v>
      </c>
      <c r="G34" s="43">
        <f t="shared" si="0"/>
        <v>-157.79</v>
      </c>
      <c r="H34" s="35">
        <f t="shared" si="7"/>
        <v>-57.79</v>
      </c>
      <c r="I34" s="50">
        <f t="shared" si="1"/>
        <v>-157.79</v>
      </c>
      <c r="J34" s="50">
        <f t="shared" si="6"/>
        <v>-57.79</v>
      </c>
      <c r="K34" s="50">
        <f>F34-123.45</f>
        <v>-181.24</v>
      </c>
      <c r="L34" s="50">
        <f>F34/123.45*100</f>
        <v>-46.812474686107734</v>
      </c>
      <c r="M34" s="35">
        <f>E34-вересень!E34</f>
        <v>0</v>
      </c>
      <c r="N34" s="35">
        <f>F34-вересень!F34</f>
        <v>2.5700000000000003</v>
      </c>
      <c r="O34" s="47">
        <f t="shared" si="3"/>
        <v>2.5700000000000003</v>
      </c>
      <c r="P34" s="50" t="e">
        <f>N34/M34*100</f>
        <v>#DIV/0!</v>
      </c>
      <c r="Q34" s="50">
        <f>N34-0</f>
        <v>2.5700000000000003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349.81</v>
      </c>
      <c r="G36" s="43">
        <f t="shared" si="0"/>
        <v>109.81</v>
      </c>
      <c r="H36" s="35">
        <f t="shared" si="7"/>
        <v>145.75416666666666</v>
      </c>
      <c r="I36" s="50">
        <f t="shared" si="1"/>
        <v>109.81</v>
      </c>
      <c r="J36" s="50"/>
      <c r="K36" s="50">
        <f>F36-279.6</f>
        <v>70.20999999999998</v>
      </c>
      <c r="L36" s="50">
        <f>F36/279.6*100</f>
        <v>125.11087267525033</v>
      </c>
      <c r="M36" s="35">
        <f>E36-вересень!E36</f>
        <v>0</v>
      </c>
      <c r="N36" s="35">
        <f>F36-вересень!F36</f>
        <v>27.829999999999984</v>
      </c>
      <c r="O36" s="47">
        <f t="shared" si="3"/>
        <v>27.829999999999984</v>
      </c>
      <c r="P36" s="50"/>
      <c r="Q36" s="50">
        <f>N36-4.23</f>
        <v>23.599999999999984</v>
      </c>
      <c r="R36" s="126">
        <f>N36/4.23</f>
        <v>6.5791962174940855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255.87</v>
      </c>
      <c r="G38" s="43">
        <f t="shared" si="0"/>
        <v>135.87</v>
      </c>
      <c r="H38" s="35">
        <f t="shared" si="7"/>
        <v>213.225</v>
      </c>
      <c r="I38" s="50">
        <f t="shared" si="1"/>
        <v>115.87</v>
      </c>
      <c r="J38" s="50">
        <f t="shared" si="6"/>
        <v>182.7642857142857</v>
      </c>
      <c r="K38" s="50">
        <f>F38-112.45</f>
        <v>143.42000000000002</v>
      </c>
      <c r="L38" s="50">
        <f>F38/112.45*100</f>
        <v>227.54112939084038</v>
      </c>
      <c r="M38" s="35">
        <f>E38-вересень!E38</f>
        <v>15</v>
      </c>
      <c r="N38" s="35">
        <f>F38-вересень!F38</f>
        <v>138.76</v>
      </c>
      <c r="O38" s="47">
        <f t="shared" si="3"/>
        <v>123.75999999999999</v>
      </c>
      <c r="P38" s="50">
        <f>N38/M38*100</f>
        <v>925.0666666666666</v>
      </c>
      <c r="Q38" s="50">
        <f>N38-9.02</f>
        <v>129.73999999999998</v>
      </c>
      <c r="R38" s="126">
        <f>N38/9.02</f>
        <v>15.383592017738358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0</v>
      </c>
      <c r="G39" s="43">
        <f t="shared" si="0"/>
        <v>0</v>
      </c>
      <c r="H39" s="35"/>
      <c r="I39" s="50">
        <f>F39-D39</f>
        <v>0</v>
      </c>
      <c r="J39" s="50"/>
      <c r="K39" s="50">
        <f>F39-0</f>
        <v>0</v>
      </c>
      <c r="L39" s="50"/>
      <c r="M39" s="35">
        <f>E39-вересень!E39</f>
        <v>0</v>
      </c>
      <c r="N39" s="35">
        <f>F39-вересень!F39</f>
        <v>-4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8383.7</v>
      </c>
      <c r="G40" s="43">
        <f t="shared" si="0"/>
        <v>-453.2999999999993</v>
      </c>
      <c r="H40" s="35">
        <f aca="true" t="shared" si="8" ref="H40:H46">F40/E40*100</f>
        <v>94.8704311417902</v>
      </c>
      <c r="I40" s="50">
        <f t="shared" si="1"/>
        <v>-616.2999999999993</v>
      </c>
      <c r="J40" s="50"/>
      <c r="K40" s="50">
        <f>F40-0</f>
        <v>8383.7</v>
      </c>
      <c r="L40" s="50"/>
      <c r="M40" s="35">
        <f>E40-вересень!E40</f>
        <v>900</v>
      </c>
      <c r="N40" s="35">
        <f>F40-вересень!F40</f>
        <v>778.2400000000007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6187.55</v>
      </c>
      <c r="G42" s="43">
        <f t="shared" si="0"/>
        <v>-203.75</v>
      </c>
      <c r="H42" s="35">
        <f t="shared" si="8"/>
        <v>96.81207266127392</v>
      </c>
      <c r="I42" s="50">
        <f t="shared" si="1"/>
        <v>-912.4499999999998</v>
      </c>
      <c r="J42" s="50">
        <f t="shared" si="6"/>
        <v>87.14859154929577</v>
      </c>
      <c r="K42" s="50">
        <f>F42-865.17</f>
        <v>5322.38</v>
      </c>
      <c r="L42" s="50">
        <f>F42/865.17*100</f>
        <v>715.1831431972907</v>
      </c>
      <c r="M42" s="35">
        <f>E42-вересень!E42</f>
        <v>592.3000000000002</v>
      </c>
      <c r="N42" s="35">
        <f>F42-вересень!F42</f>
        <v>465.60000000000036</v>
      </c>
      <c r="O42" s="47">
        <f t="shared" si="3"/>
        <v>-126.69999999999982</v>
      </c>
      <c r="P42" s="50">
        <f>N42/M42*100</f>
        <v>78.60881310146888</v>
      </c>
      <c r="Q42" s="50">
        <f>N42-79.51</f>
        <v>386.0900000000004</v>
      </c>
      <c r="R42" s="126">
        <f>N42/79.51</f>
        <v>5.855867186517424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883.77</v>
      </c>
      <c r="G43" s="135">
        <f t="shared" si="0"/>
        <v>-26.230000000000018</v>
      </c>
      <c r="H43" s="35">
        <f t="shared" si="8"/>
        <v>97.11758241758241</v>
      </c>
      <c r="I43" s="136">
        <f t="shared" si="1"/>
        <v>-216.23000000000002</v>
      </c>
      <c r="J43" s="136">
        <f t="shared" si="6"/>
        <v>80.34272727272726</v>
      </c>
      <c r="K43" s="136">
        <f>F43-757.36</f>
        <v>126.40999999999997</v>
      </c>
      <c r="L43" s="136">
        <f>F43/757.36*100</f>
        <v>116.69087356079011</v>
      </c>
      <c r="M43" s="137">
        <f>E43-вересень!E43</f>
        <v>70</v>
      </c>
      <c r="N43" s="137">
        <f>F43-вересень!F43</f>
        <v>81.92999999999995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44.11</v>
      </c>
      <c r="G44" s="135">
        <f t="shared" si="0"/>
        <v>-25.89</v>
      </c>
      <c r="H44" s="35">
        <f t="shared" si="8"/>
        <v>63.01428571428571</v>
      </c>
      <c r="I44" s="136">
        <f t="shared" si="1"/>
        <v>-35.89</v>
      </c>
      <c r="J44" s="136"/>
      <c r="K44" s="136">
        <f>F44-0</f>
        <v>44.11</v>
      </c>
      <c r="L44" s="136"/>
      <c r="M44" s="137">
        <f>E44-вересень!E44</f>
        <v>10</v>
      </c>
      <c r="N44" s="137">
        <f>F44-вересень!F44</f>
        <v>0.03999999999999915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5258.92</v>
      </c>
      <c r="G46" s="135">
        <f t="shared" si="0"/>
        <v>-151.07999999999993</v>
      </c>
      <c r="H46" s="35">
        <f t="shared" si="8"/>
        <v>97.20739371534196</v>
      </c>
      <c r="I46" s="136">
        <f t="shared" si="1"/>
        <v>-659.0799999999999</v>
      </c>
      <c r="J46" s="136">
        <f t="shared" si="6"/>
        <v>88.86312943562015</v>
      </c>
      <c r="K46" s="136">
        <f>F46-107.81</f>
        <v>5151.11</v>
      </c>
      <c r="L46" s="136">
        <f>F46/107.81*100</f>
        <v>4877.951952509044</v>
      </c>
      <c r="M46" s="137">
        <f>E46-вересень!E46</f>
        <v>512</v>
      </c>
      <c r="N46" s="137">
        <f>F46-вересень!F46</f>
        <v>383.6300000000001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4010.85</v>
      </c>
      <c r="G48" s="43">
        <f t="shared" si="0"/>
        <v>560.8499999999999</v>
      </c>
      <c r="H48" s="35">
        <f>F48/E48*100</f>
        <v>116.25652173913043</v>
      </c>
      <c r="I48" s="50">
        <f t="shared" si="1"/>
        <v>-189.1500000000001</v>
      </c>
      <c r="J48" s="50">
        <f>F48/D48*100</f>
        <v>95.49642857142857</v>
      </c>
      <c r="K48" s="50">
        <f>F48-3446.94</f>
        <v>563.9099999999999</v>
      </c>
      <c r="L48" s="50">
        <f>F48/3446.94*100</f>
        <v>116.35972775853365</v>
      </c>
      <c r="M48" s="35">
        <f>E48-вересень!E48</f>
        <v>360</v>
      </c>
      <c r="N48" s="35">
        <f>F48-вересень!F48</f>
        <v>439.4000000000001</v>
      </c>
      <c r="O48" s="47">
        <f t="shared" si="3"/>
        <v>79.40000000000009</v>
      </c>
      <c r="P48" s="50">
        <f aca="true" t="shared" si="9" ref="P48:P53">N48/M48*100</f>
        <v>122.05555555555559</v>
      </c>
      <c r="Q48" s="50">
        <f>N48-277.38</f>
        <v>162.0200000000001</v>
      </c>
      <c r="R48" s="126">
        <f>N48/277.38</f>
        <v>1.5841084432907928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1044.3</v>
      </c>
      <c r="G51" s="135">
        <f t="shared" si="0"/>
        <v>1044.3</v>
      </c>
      <c r="H51" s="137"/>
      <c r="I51" s="136">
        <f t="shared" si="1"/>
        <v>1044.3</v>
      </c>
      <c r="J51" s="136"/>
      <c r="K51" s="219">
        <f>F51-838.39</f>
        <v>205.90999999999997</v>
      </c>
      <c r="L51" s="219">
        <f>F51/838.39*100</f>
        <v>124.56016889514426</v>
      </c>
      <c r="M51" s="35">
        <f>E51-вересень!E51</f>
        <v>0</v>
      </c>
      <c r="N51" s="35">
        <f>F51-вересень!F51</f>
        <v>65.09999999999991</v>
      </c>
      <c r="O51" s="138">
        <f t="shared" si="3"/>
        <v>65.09999999999991</v>
      </c>
      <c r="P51" s="136"/>
      <c r="Q51" s="50">
        <f>N51-64.93</f>
        <v>0.16999999999990223</v>
      </c>
      <c r="R51" s="126">
        <f>N51/64.93</f>
        <v>1.0026182042199276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20.92</v>
      </c>
      <c r="G53" s="43">
        <f t="shared" si="0"/>
        <v>-0.6799999999999997</v>
      </c>
      <c r="H53" s="35">
        <f>F53/E53*100</f>
        <v>96.85185185185186</v>
      </c>
      <c r="I53" s="50">
        <f t="shared" si="1"/>
        <v>-5.579999999999998</v>
      </c>
      <c r="J53" s="50">
        <f>F53/D53*100</f>
        <v>78.9433962264151</v>
      </c>
      <c r="K53" s="50">
        <f>F53-21.71</f>
        <v>-0.7899999999999991</v>
      </c>
      <c r="L53" s="50">
        <f>F53/21.71*100</f>
        <v>96.36112390603408</v>
      </c>
      <c r="M53" s="35">
        <f>E53-вересень!E53</f>
        <v>2.200000000000003</v>
      </c>
      <c r="N53" s="35">
        <f>F53-вересень!F53</f>
        <v>6.500000000000002</v>
      </c>
      <c r="O53" s="47">
        <f t="shared" si="3"/>
        <v>4.299999999999999</v>
      </c>
      <c r="P53" s="50">
        <f t="shared" si="9"/>
        <v>295.45454545454515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577689.14</v>
      </c>
      <c r="G55" s="44">
        <f>F55-E55</f>
        <v>41591.80000000005</v>
      </c>
      <c r="H55" s="45">
        <f>F55/E55*100</f>
        <v>107.75825524521349</v>
      </c>
      <c r="I55" s="31">
        <f>F55-D55</f>
        <v>-30265.929999999935</v>
      </c>
      <c r="J55" s="31">
        <f>F55/D55*100</f>
        <v>95.02168309904876</v>
      </c>
      <c r="K55" s="31">
        <f>K8+K33+K53+K54</f>
        <v>165658.048</v>
      </c>
      <c r="L55" s="31">
        <f>F55/(F55-K55)*100</f>
        <v>140.20522994900588</v>
      </c>
      <c r="M55" s="18">
        <f>M8+M33+M53+M54</f>
        <v>50675.44</v>
      </c>
      <c r="N55" s="18">
        <f>N8+N33+N53+N54</f>
        <v>68550.53000000001</v>
      </c>
      <c r="O55" s="49">
        <f>N55-M55</f>
        <v>17875.09000000001</v>
      </c>
      <c r="P55" s="31">
        <f>N55/M55*100</f>
        <v>135.27367497943777</v>
      </c>
      <c r="Q55" s="31">
        <f>N55-34768</f>
        <v>33782.53000000001</v>
      </c>
      <c r="R55" s="171">
        <f>N55/34768</f>
        <v>1.9716558329498393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593.13</v>
      </c>
      <c r="G64" s="43">
        <f t="shared" si="10"/>
        <v>-1006.87</v>
      </c>
      <c r="H64" s="35"/>
      <c r="I64" s="53">
        <f t="shared" si="11"/>
        <v>-1906.87</v>
      </c>
      <c r="J64" s="53">
        <f t="shared" si="13"/>
        <v>23.725199999999997</v>
      </c>
      <c r="K64" s="53">
        <f>F64-1754.79</f>
        <v>-1161.6599999999999</v>
      </c>
      <c r="L64" s="53">
        <f>F64/1754.79*100</f>
        <v>33.80062571589763</v>
      </c>
      <c r="M64" s="35">
        <f>E64-вересень!E64</f>
        <v>0</v>
      </c>
      <c r="N64" s="35">
        <f>F64-вересень!F64</f>
        <v>0.029999999999972715</v>
      </c>
      <c r="O64" s="47">
        <f t="shared" si="12"/>
        <v>0.029999999999972715</v>
      </c>
      <c r="P64" s="53"/>
      <c r="Q64" s="53">
        <f>N64-0.04</f>
        <v>-0.010000000000027286</v>
      </c>
      <c r="R64" s="129">
        <f>N64/0.04</f>
        <v>0.7499999999993179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7212.08</v>
      </c>
      <c r="G65" s="43">
        <f t="shared" si="10"/>
        <v>476.10000000000036</v>
      </c>
      <c r="H65" s="35">
        <f>F65/E65*100</f>
        <v>107.06801385989864</v>
      </c>
      <c r="I65" s="53">
        <f t="shared" si="11"/>
        <v>-4363.92</v>
      </c>
      <c r="J65" s="53">
        <f t="shared" si="13"/>
        <v>62.302004146510015</v>
      </c>
      <c r="K65" s="53">
        <f>F65-2762.1</f>
        <v>4449.98</v>
      </c>
      <c r="L65" s="53">
        <f>F65/2762.1*100</f>
        <v>261.10857680750155</v>
      </c>
      <c r="M65" s="35">
        <f>E65-вересень!E65</f>
        <v>1273.8199999999997</v>
      </c>
      <c r="N65" s="35">
        <f>F65-вересень!F65</f>
        <v>3224.45</v>
      </c>
      <c r="O65" s="47">
        <f t="shared" si="12"/>
        <v>1950.63</v>
      </c>
      <c r="P65" s="53">
        <f>N65/M65*100</f>
        <v>253.1323106875383</v>
      </c>
      <c r="Q65" s="53">
        <f>N65-450.01</f>
        <v>2774.4399999999996</v>
      </c>
      <c r="R65" s="129">
        <f>N65/450.01</f>
        <v>7.165285215884091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2063.43</v>
      </c>
      <c r="G66" s="43">
        <f t="shared" si="10"/>
        <v>730.5299999999997</v>
      </c>
      <c r="H66" s="35">
        <f>F66/E66*100</f>
        <v>154.80756245779875</v>
      </c>
      <c r="I66" s="53">
        <f t="shared" si="11"/>
        <v>-936.5700000000002</v>
      </c>
      <c r="J66" s="53">
        <f t="shared" si="13"/>
        <v>68.78099999999999</v>
      </c>
      <c r="K66" s="53">
        <f>F66-1134.02</f>
        <v>929.4099999999999</v>
      </c>
      <c r="L66" s="53">
        <f>F66/1134.02*100</f>
        <v>181.9571083402409</v>
      </c>
      <c r="M66" s="35">
        <f>E66-вересень!E66</f>
        <v>148.10000000000014</v>
      </c>
      <c r="N66" s="35">
        <f>F66-вересень!F66</f>
        <v>204.3499999999999</v>
      </c>
      <c r="O66" s="47">
        <f t="shared" si="12"/>
        <v>56.24999999999977</v>
      </c>
      <c r="P66" s="53">
        <f>N66/M66*100</f>
        <v>137.98109385550285</v>
      </c>
      <c r="Q66" s="53">
        <f>N66-1.05</f>
        <v>203.2999999999999</v>
      </c>
      <c r="R66" s="129">
        <f>N66/1.05</f>
        <v>194.61904761904754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9868.64</v>
      </c>
      <c r="G67" s="55">
        <f t="shared" si="10"/>
        <v>199.76000000000022</v>
      </c>
      <c r="H67" s="65">
        <f>F67/E67*100</f>
        <v>102.06600971363797</v>
      </c>
      <c r="I67" s="54">
        <f t="shared" si="11"/>
        <v>-7207.360000000001</v>
      </c>
      <c r="J67" s="54">
        <f t="shared" si="13"/>
        <v>57.79245724994143</v>
      </c>
      <c r="K67" s="54">
        <f>K64+K65+K66</f>
        <v>4217.73</v>
      </c>
      <c r="L67" s="54"/>
      <c r="M67" s="55">
        <f>M64+M65+M66</f>
        <v>1421.9199999999998</v>
      </c>
      <c r="N67" s="55">
        <f>N64+N65+N66</f>
        <v>3428.8299999999995</v>
      </c>
      <c r="O67" s="54">
        <f t="shared" si="12"/>
        <v>2006.9099999999996</v>
      </c>
      <c r="P67" s="54">
        <f>N67/M67*100</f>
        <v>241.14085180600875</v>
      </c>
      <c r="Q67" s="54">
        <f>N67-7985.28</f>
        <v>-4556.450000000001</v>
      </c>
      <c r="R67" s="173">
        <f>N67/7985.28</f>
        <v>0.4293938346557666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1.14</v>
      </c>
      <c r="G70" s="43">
        <f>F70-E70</f>
        <v>1.14</v>
      </c>
      <c r="H70" s="35"/>
      <c r="I70" s="53">
        <f>F70-D70</f>
        <v>1.14</v>
      </c>
      <c r="J70" s="53"/>
      <c r="K70" s="53">
        <f>F70-1.29</f>
        <v>-0.15000000000000013</v>
      </c>
      <c r="L70" s="53">
        <f>F70/1.29*100</f>
        <v>88.3720930232558</v>
      </c>
      <c r="M70" s="35">
        <f>E70-вересень!E70</f>
        <v>0</v>
      </c>
      <c r="N70" s="35">
        <f>F70-вересень!F70</f>
        <v>0.1399999999999999</v>
      </c>
      <c r="O70" s="47">
        <f>N70-M70</f>
        <v>0.1399999999999999</v>
      </c>
      <c r="P70" s="53"/>
      <c r="Q70" s="53">
        <f>N70-(-0.21)</f>
        <v>0.34999999999999987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1.4899999999999998</v>
      </c>
      <c r="G71" s="55">
        <f>F71-E71</f>
        <v>-47.51</v>
      </c>
      <c r="H71" s="65">
        <f>F71/E71*100</f>
        <v>3.040816326530612</v>
      </c>
      <c r="I71" s="54">
        <f>F71-D71</f>
        <v>-52.51</v>
      </c>
      <c r="J71" s="54">
        <f>F71/D71*100</f>
        <v>2.759259259259259</v>
      </c>
      <c r="K71" s="54">
        <f>K68+K69+K70</f>
        <v>-54.29</v>
      </c>
      <c r="L71" s="54"/>
      <c r="M71" s="55">
        <f>M68+M70+M69</f>
        <v>12</v>
      </c>
      <c r="N71" s="55">
        <f>N68+N70+N69</f>
        <v>0.1399999999999999</v>
      </c>
      <c r="O71" s="54">
        <f>N71-M71</f>
        <v>-11.86</v>
      </c>
      <c r="P71" s="54"/>
      <c r="Q71" s="54">
        <f>N71-26.38</f>
        <v>-26.24</v>
      </c>
      <c r="R71" s="128">
        <f>N71/26.38</f>
        <v>0.005307050796057616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30.02</v>
      </c>
      <c r="G72" s="43">
        <f>F72-E72</f>
        <v>-3.400000000000002</v>
      </c>
      <c r="H72" s="35">
        <f>F72/E72*100</f>
        <v>89.82645122681029</v>
      </c>
      <c r="I72" s="53">
        <f>F72-D72</f>
        <v>-11.98</v>
      </c>
      <c r="J72" s="53">
        <f>F72/D72*100</f>
        <v>71.47619047619047</v>
      </c>
      <c r="K72" s="53">
        <f>F72-33.03</f>
        <v>-3.0100000000000016</v>
      </c>
      <c r="L72" s="53">
        <f>F72/33.03*100</f>
        <v>90.88707235846199</v>
      </c>
      <c r="M72" s="35">
        <f>E72-вересень!E72</f>
        <v>1.2000000000000028</v>
      </c>
      <c r="N72" s="35">
        <f>F72-вересень!F72</f>
        <v>0.8000000000000007</v>
      </c>
      <c r="O72" s="47">
        <f>N72-M72</f>
        <v>-0.40000000000000213</v>
      </c>
      <c r="P72" s="53">
        <f>N72/M72*100</f>
        <v>66.66666666666656</v>
      </c>
      <c r="Q72" s="53">
        <f>N72-0.45</f>
        <v>0.3500000000000007</v>
      </c>
      <c r="R72" s="129">
        <f>N72/0.45</f>
        <v>1.7777777777777792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9845.6</v>
      </c>
      <c r="G74" s="44">
        <f>F74-E74</f>
        <v>94.30000000000109</v>
      </c>
      <c r="H74" s="45">
        <f>F74/E74*100</f>
        <v>100.96705054710655</v>
      </c>
      <c r="I74" s="31">
        <f>F74-D74</f>
        <v>-7326.4</v>
      </c>
      <c r="J74" s="31">
        <f>F74/D74*100</f>
        <v>57.33519683205218</v>
      </c>
      <c r="K74" s="31">
        <f>K62+K67+K71+K72</f>
        <v>3842.4299999999994</v>
      </c>
      <c r="L74" s="31"/>
      <c r="M74" s="27">
        <f>M62+M72+M67+M71</f>
        <v>1435.12</v>
      </c>
      <c r="N74" s="27">
        <f>N62+N72+N67+N71+N73</f>
        <v>3426.7199999999993</v>
      </c>
      <c r="O74" s="31">
        <f>N74-M74</f>
        <v>1991.5999999999995</v>
      </c>
      <c r="P74" s="31">
        <f>N74/M74*100</f>
        <v>238.7758514967389</v>
      </c>
      <c r="Q74" s="31">
        <f>N74-8104.96</f>
        <v>-4678.240000000001</v>
      </c>
      <c r="R74" s="127">
        <f>N74/8104.96</f>
        <v>0.4227929564118761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587534.74</v>
      </c>
      <c r="G75" s="44">
        <f>F75-E75</f>
        <v>41686.09999999998</v>
      </c>
      <c r="H75" s="45">
        <f>F75/E75*100</f>
        <v>107.63693393098863</v>
      </c>
      <c r="I75" s="31">
        <f>F75-D75</f>
        <v>-37592.32999999996</v>
      </c>
      <c r="J75" s="31">
        <f>F75/D75*100</f>
        <v>93.9864498269128</v>
      </c>
      <c r="K75" s="31">
        <f>K55+K74</f>
        <v>169500.478</v>
      </c>
      <c r="L75" s="31">
        <f>F75/(F75-K75)*100</f>
        <v>140.54703009008387</v>
      </c>
      <c r="M75" s="18">
        <f>M55+M74</f>
        <v>52110.560000000005</v>
      </c>
      <c r="N75" s="18">
        <f>N55+N74</f>
        <v>71977.25000000001</v>
      </c>
      <c r="O75" s="31">
        <f>N75-M75</f>
        <v>19866.69000000001</v>
      </c>
      <c r="P75" s="31">
        <f>N75/M75*100</f>
        <v>138.12411534245652</v>
      </c>
      <c r="Q75" s="31">
        <f>N75-42872.96</f>
        <v>29104.290000000015</v>
      </c>
      <c r="R75" s="127">
        <f>N75/42872.96</f>
        <v>1.6788495592559975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42307</v>
      </c>
      <c r="D79" s="34">
        <v>6147.1</v>
      </c>
      <c r="G79" s="4" t="s">
        <v>166</v>
      </c>
      <c r="N79" s="252"/>
      <c r="O79" s="252"/>
    </row>
    <row r="80" spans="3:15" ht="15.75">
      <c r="C80" s="111">
        <v>42306</v>
      </c>
      <c r="D80" s="34">
        <v>6844.5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42305</v>
      </c>
      <c r="D81" s="34">
        <v>4690.4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257.30632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8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69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2015-11-02T08:42:34Z</cp:lastPrinted>
  <dcterms:created xsi:type="dcterms:W3CDTF">2003-07-28T11:27:56Z</dcterms:created>
  <dcterms:modified xsi:type="dcterms:W3CDTF">2015-11-02T08:59:54Z</dcterms:modified>
  <cp:category/>
  <cp:version/>
  <cp:contentType/>
  <cp:contentStatus/>
</cp:coreProperties>
</file>